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березень" sheetId="1" r:id="rId1"/>
    <sheet name="лютий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<sst xmlns="http://schemas.openxmlformats.org/spreadsheetml/2006/main" count="613" uniqueCount="215">
  <si>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</si>
  <si>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</si>
  <si>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</si>
  <si>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</si>
  <si>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</si>
  <si>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</si>
  <si>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</si>
  <si>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</si>
  <si>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</si>
  <si>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</si>
  <si>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</si>
  <si>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</si>
  <si>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</si>
  <si>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</si>
  <si>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</si>
  <si>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</si>
  <si>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</si>
  <si>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</si>
  <si>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</si>
  <si>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</si>
  <si>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</si>
  <si>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</si>
  <si>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</si>
  <si>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</si>
  <si>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</si>
  <si>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</si>
  <si>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</si>
  <si>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</si>
  <si>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</si>
  <si>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</si>
  <si>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</si>
  <si>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</si>
  <si>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</si>
  <si>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</si>
  <si>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</si>
  <si>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</si>
  <si>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</si>
  <si>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</si>
  <si>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</si>
  <si>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</si>
  <si>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</si>
  <si>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</si>
  <si>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</si>
  <si>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</si>
  <si>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</si>
  <si>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</si>
  <si>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</si>
  <si>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</si>
  <si>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</si>
  <si>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</si>
  <si>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</si>
  <si>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</si>
  <si>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</si>
  <si>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</si>
  <si>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</si>
  <si>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</si>
  <si>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</si>
  <si>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</si>
  <si>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</si>
  <si>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</si>
  <si>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</si>
  <si>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</si>
  <si>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</si>
  <si>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</si>
  <si>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</si>
  <si>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</si>
  <si>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</si>
  <si>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</si>
  <si>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</si>
  <si>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</si>
  <si>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</si>
  <si>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</si>
  <si>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</si>
  <si>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</si>
  <si>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</si>
  <si>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</si>
  <si>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</si>
  <si>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</si>
  <si>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</si>
  <si>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</si>
  <si>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</si>
  <si>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</si>
  <si>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</si>
  <si>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</si>
  <si>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</si>
  <si>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</si>
  <si>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</si>
  <si>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</si>
  <si>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</si>
  <si>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</si>
  <si>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</si>
  <si>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</si>
  <si>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</si>
  <si>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</si>
  <si>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</si>
  <si>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</si>
  <si>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</si>
  <si>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</si>
  <si>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</si>
  <si>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</si>
  <si>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</si>
  <si>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</si>
  <si>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</si>
  <si>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</si>
  <si>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</si>
  <si>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</si>
  <si>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</si>
  <si>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</si>
  <si>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</si>
  <si>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</si>
  <si>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</si>
  <si>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</si>
  <si>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</si>
  <si>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</si>
  <si>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</si>
  <si>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</si>
  <si>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</si>
  <si>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</si>
  <si>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</si>
  <si>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</si>
  <si>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</si>
  <si>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</si>
  <si>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</si>
  <si>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</si>
  <si>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</si>
  <si>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</si>
  <si>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</si>
  <si>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</si>
  <si>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</si>
  <si>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</si>
  <si>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</si>
  <si>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</si>
  <si>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</si>
  <si>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</si>
  <si>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</si>
  <si>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</si>
  <si>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</si>
  <si>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</si>
  <si>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</si>
  <si>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</si>
  <si>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</si>
  <si>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</si>
  <si>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</si>
  <si>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</si>
  <si>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</si>
  <si>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</si>
  <si>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</si>
  <si>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</si>
  <si>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</si>
  <si>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</si>
  <si>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</si>
  <si>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</si>
  <si>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</si>
  <si>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</si>
  <si>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</si>
  <si>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</si>
  <si>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</si>
  <si>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</si>
  <si>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</si>
  <si>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</si>
  <si>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</si>
  <si>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</si>
  <si>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</si>
  <si>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</si>
  <si>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</si>
  <si>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</si>
  <si>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</si>
  <si>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</si>
  <si>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</si>
  <si>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</si>
  <si>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</si>
  <si>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</si>
  <si>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</si>
  <si>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</si>
  <si>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</si>
  <si>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</si>
  <si>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</si>
  <si>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</si>
  <si>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</si>
  <si>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</si>
  <si>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</si>
  <si>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</si>
  <si>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</si>
  <si>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</si>
  <si>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</si>
  <si>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</si>
  <si>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</si>
  <si>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</si>
  <si>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</si>
  <si>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</si>
  <si>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</si>
  <si>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</si>
  <si>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</si>
  <si>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Затверджений план на січень-березень</t>
  </si>
  <si>
    <t>Необхідно ще отримати до плану на січень-березень</t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</si>
  <si>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</si>
  <si>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</si>
  <si>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</si>
  <si>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</si>
  <si>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</si>
  <si>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</si>
  <si>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</si>
  <si>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</si>
  <si>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</si>
  <si>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</si>
  <si>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</si>
  <si>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</si>
  <si>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06.03.2014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</si>
  <si>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05.03.14 </t>
    </r>
    <r>
      <rPr>
        <b/>
        <sz val="10"/>
        <rFont val="Times New Roman"/>
        <family val="1"/>
      </rPr>
      <t>включно</t>
    </r>
  </si>
  <si>
    <t>Відхилення до плану на січень-березень</t>
  </si>
  <si>
    <t>Затверджений план</t>
  </si>
  <si>
    <t xml:space="preserve"> на  2014 рік </t>
  </si>
  <si>
    <t xml:space="preserve"> на січень-лютий</t>
  </si>
  <si>
    <t xml:space="preserve">Затверджений план   </t>
  </si>
  <si>
    <t>на березень  місяць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</si>
</sst>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очік-03"/>
      <sheetName val="депозит"/>
      <sheetName val="залишки  (2)"/>
      <sheetName val="надх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6">
        <row r="6">
          <cell r="G6">
            <v>122391372.74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108566150.78</v>
          </cell>
        </row>
      </sheetData>
      <sheetData sheetId="18">
        <row r="28">
          <cell r="C28">
            <v>3467058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4" sqref="G4:G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207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210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213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209</v>
      </c>
      <c r="H4" s="177" t="s">
        <v>195</v>
      </c>
      <c r="I4" s="211" t="s">
        <v>187</v>
      </c>
      <c r="J4" s="197" t="s">
        <v>188</v>
      </c>
      <c r="K4" s="201" t="s">
        <v>196</v>
      </c>
      <c r="L4" s="202"/>
      <c r="M4" s="214"/>
      <c r="N4" s="168" t="s">
        <v>208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211</v>
      </c>
      <c r="E5" s="203" t="s">
        <v>212</v>
      </c>
      <c r="F5" s="216"/>
      <c r="G5" s="210"/>
      <c r="H5" s="178"/>
      <c r="I5" s="212"/>
      <c r="J5" s="199"/>
      <c r="K5" s="153"/>
      <c r="L5" s="164"/>
      <c r="M5" s="151" t="s">
        <v>214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114957.60000000002</v>
      </c>
      <c r="F8" s="22">
        <f>F10+F19+F33+F56+F68+F30</f>
        <v>72339.91</v>
      </c>
      <c r="G8" s="22">
        <f aca="true" t="shared" si="0" ref="G8:G30">F8-E8</f>
        <v>-42617.69000000002</v>
      </c>
      <c r="H8" s="51">
        <f>F8/E8*100</f>
        <v>62.927470650048356</v>
      </c>
      <c r="I8" s="36">
        <f aca="true" t="shared" si="1" ref="I8:I17">F8-D8</f>
        <v>-446989.39</v>
      </c>
      <c r="J8" s="36">
        <f aca="true" t="shared" si="2" ref="J8:J14">F8/D8*100</f>
        <v>13.929487513991607</v>
      </c>
      <c r="K8" s="36">
        <f>F8-110917.9</f>
        <v>-38577.98999999999</v>
      </c>
      <c r="L8" s="136">
        <f>F8/110917.9</f>
        <v>0.6521932889100858</v>
      </c>
      <c r="M8" s="22">
        <f>M10+M19+M33+M56+M68+M30</f>
        <v>40892.80000000001</v>
      </c>
      <c r="N8" s="22">
        <f>N10+N19+N33+N56+N68+N30</f>
        <v>3026.6600000000008</v>
      </c>
      <c r="O8" s="36">
        <f aca="true" t="shared" si="3" ref="O8:O71">N8-M8</f>
        <v>-37866.14000000001</v>
      </c>
      <c r="P8" s="36">
        <f>F8/M8*100</f>
        <v>176.9013371547069</v>
      </c>
      <c r="Q8" s="36">
        <f>N8-38338.6</f>
        <v>-35311.939999999995</v>
      </c>
      <c r="R8" s="134">
        <f>N8/38338.6</f>
        <v>0.07894550140067715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57432.39</v>
      </c>
      <c r="G9" s="22">
        <f t="shared" si="0"/>
        <v>57432.39</v>
      </c>
      <c r="H9" s="20"/>
      <c r="I9" s="56">
        <f t="shared" si="1"/>
        <v>-360933.81</v>
      </c>
      <c r="J9" s="56">
        <f t="shared" si="2"/>
        <v>13.72777963420563</v>
      </c>
      <c r="K9" s="56"/>
      <c r="L9" s="135"/>
      <c r="M9" s="20">
        <f>M10+M17</f>
        <v>33586.40000000001</v>
      </c>
      <c r="N9" s="20">
        <f>N10+N17</f>
        <v>2686.4000000000015</v>
      </c>
      <c r="O9" s="36">
        <f t="shared" si="3"/>
        <v>-30900.000000000007</v>
      </c>
      <c r="P9" s="56">
        <f>F9/M9*100</f>
        <v>170.99894600195313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57432.39</v>
      </c>
      <c r="G10" s="49">
        <f t="shared" si="0"/>
        <v>-36024.21000000001</v>
      </c>
      <c r="H10" s="40">
        <f aca="true" t="shared" si="4" ref="H10:H17">F10/E10*100</f>
        <v>61.4535410019196</v>
      </c>
      <c r="I10" s="56">
        <f t="shared" si="1"/>
        <v>-360933.81</v>
      </c>
      <c r="J10" s="56">
        <f t="shared" si="2"/>
        <v>13.72777963420563</v>
      </c>
      <c r="K10" s="141">
        <f>F10-85215.1</f>
        <v>-27782.710000000006</v>
      </c>
      <c r="L10" s="142">
        <f>F10/85215.1</f>
        <v>0.6739696368366639</v>
      </c>
      <c r="M10" s="40">
        <f>E10-лютий!E10</f>
        <v>33586.40000000001</v>
      </c>
      <c r="N10" s="40">
        <f>F10-лютий!F10</f>
        <v>2686.4000000000015</v>
      </c>
      <c r="O10" s="53">
        <f t="shared" si="3"/>
        <v>-30900.000000000007</v>
      </c>
      <c r="P10" s="56">
        <f aca="true" t="shared" si="5" ref="P10:P17">N10/M10*100</f>
        <v>7.998475573446397</v>
      </c>
      <c r="Q10" s="141">
        <f>N10-30092.3</f>
        <v>-27405.899999999998</v>
      </c>
      <c r="R10" s="142">
        <f>N10/30092.3</f>
        <v>0.0892720064601244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770.29</v>
      </c>
      <c r="G19" s="49">
        <f t="shared" si="0"/>
        <v>-458.30999999999995</v>
      </c>
      <c r="H19" s="40">
        <f aca="true" t="shared" si="6" ref="H19:H29">F19/E19*100</f>
        <v>62.696565196158225</v>
      </c>
      <c r="I19" s="56">
        <f aca="true" t="shared" si="7" ref="I19:I29">F19-D19</f>
        <v>-5229.71</v>
      </c>
      <c r="J19" s="56">
        <f aca="true" t="shared" si="8" ref="J19:J29">F19/D19*100</f>
        <v>12.838166666666668</v>
      </c>
      <c r="K19" s="56">
        <f>F19-4285.5</f>
        <v>-3515.21</v>
      </c>
      <c r="L19" s="135">
        <f>F19/4285.5</f>
        <v>0.1797433204993583</v>
      </c>
      <c r="M19" s="40">
        <f>E19-лютий!E19</f>
        <v>510.9999999999999</v>
      </c>
      <c r="N19" s="40">
        <f>F19-лютий!F19</f>
        <v>31.17999999999995</v>
      </c>
      <c r="O19" s="53">
        <f t="shared" si="3"/>
        <v>-479.81999999999994</v>
      </c>
      <c r="P19" s="56">
        <f aca="true" t="shared" si="9" ref="P19:P29">N19/M19*100</f>
        <v>6.101761252446176</v>
      </c>
      <c r="Q19" s="56">
        <f>N19-409.4</f>
        <v>-378.22</v>
      </c>
      <c r="R19" s="135">
        <f>N19/409.4</f>
        <v>0.0761602344894967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180</v>
      </c>
      <c r="C29" s="143">
        <v>11010232</v>
      </c>
      <c r="D29" s="144">
        <v>3000</v>
      </c>
      <c r="E29" s="144">
        <v>728.6</v>
      </c>
      <c r="F29" s="146">
        <v>717.64</v>
      </c>
      <c r="G29" s="49">
        <f t="shared" si="0"/>
        <v>-10.960000000000036</v>
      </c>
      <c r="H29" s="40">
        <f t="shared" si="6"/>
        <v>98.49574526489157</v>
      </c>
      <c r="I29" s="56">
        <f t="shared" si="7"/>
        <v>-2282.36</v>
      </c>
      <c r="J29" s="56">
        <f t="shared" si="8"/>
        <v>23.921333333333333</v>
      </c>
      <c r="K29" s="148">
        <f>F29-731.3</f>
        <v>-13.659999999999968</v>
      </c>
      <c r="L29" s="149">
        <f>F29/731.3</f>
        <v>0.9813209353206619</v>
      </c>
      <c r="M29" s="146">
        <f>E29-лютий!E29</f>
        <v>12.600000000000023</v>
      </c>
      <c r="N29" s="146">
        <f>F29-лютий!F29</f>
        <v>0</v>
      </c>
      <c r="O29" s="148">
        <f t="shared" si="3"/>
        <v>-12.600000000000023</v>
      </c>
      <c r="P29" s="145">
        <f t="shared" si="9"/>
        <v>0</v>
      </c>
      <c r="Q29" s="145">
        <f>N29-408.7</f>
        <v>-408.7</v>
      </c>
      <c r="R29" s="196">
        <f>N29/408.7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v>18578.2</v>
      </c>
      <c r="F33" s="40">
        <v>13008.98</v>
      </c>
      <c r="G33" s="49">
        <f aca="true" t="shared" si="14" ref="G33:G72">F33-E33</f>
        <v>-5569.220000000001</v>
      </c>
      <c r="H33" s="40">
        <f aca="true" t="shared" si="15" ref="H33:H67">F33/E33*100</f>
        <v>70.02282244781519</v>
      </c>
      <c r="I33" s="56">
        <f>F33-D33</f>
        <v>-75057.02</v>
      </c>
      <c r="J33" s="56">
        <f aca="true" t="shared" si="16" ref="J33:J72">F33/D33*100</f>
        <v>14.771852928485455</v>
      </c>
      <c r="K33" s="141">
        <f>F33-19762.7</f>
        <v>-6753.720000000001</v>
      </c>
      <c r="L33" s="142">
        <f>F33/19762.7</f>
        <v>0.658259245953235</v>
      </c>
      <c r="M33" s="40">
        <f>E33-лютий!E33</f>
        <v>6190</v>
      </c>
      <c r="N33" s="40">
        <f>F33-лютий!F33</f>
        <v>251.97999999999956</v>
      </c>
      <c r="O33" s="53">
        <f t="shared" si="3"/>
        <v>-5938.02</v>
      </c>
      <c r="P33" s="56">
        <f aca="true" t="shared" si="17" ref="P33:P67">N33/M33*100</f>
        <v>4.070759289176083</v>
      </c>
      <c r="Q33" s="141">
        <f>N33-7227.1</f>
        <v>-6975.120000000001</v>
      </c>
      <c r="R33" s="142">
        <f>N33/7227.1</f>
        <v>0.03486599050794918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181</v>
      </c>
      <c r="C55" s="65"/>
      <c r="D55" s="144">
        <f>56066+10200</f>
        <v>66266</v>
      </c>
      <c r="E55" s="144">
        <v>13737.9</v>
      </c>
      <c r="F55" s="146">
        <v>9713.71</v>
      </c>
      <c r="G55" s="144">
        <f t="shared" si="14"/>
        <v>-4024.1900000000005</v>
      </c>
      <c r="H55" s="146">
        <f t="shared" si="15"/>
        <v>70.70738613616345</v>
      </c>
      <c r="I55" s="145">
        <f t="shared" si="18"/>
        <v>-56552.29</v>
      </c>
      <c r="J55" s="145">
        <f t="shared" si="16"/>
        <v>14.658663568043941</v>
      </c>
      <c r="K55" s="148">
        <f>F55-14615.9</f>
        <v>-4902.1900000000005</v>
      </c>
      <c r="L55" s="149">
        <f>F55/14615.9</f>
        <v>0.6645988273045108</v>
      </c>
      <c r="M55" s="146">
        <f>E55-лютий!E55</f>
        <v>4237.9</v>
      </c>
      <c r="N55" s="146">
        <f>F55-лютий!F55</f>
        <v>233.59999999999854</v>
      </c>
      <c r="O55" s="148">
        <f t="shared" si="3"/>
        <v>-4004.300000000001</v>
      </c>
      <c r="P55" s="148">
        <f t="shared" si="17"/>
        <v>5.512164043512083</v>
      </c>
      <c r="Q55" s="194">
        <f>N55-4813.8</f>
        <v>-4580.200000000002</v>
      </c>
      <c r="R55" s="195">
        <f>N55/4813.8</f>
        <v>0.04852715110723307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1124.56</v>
      </c>
      <c r="G56" s="49">
        <f t="shared" si="14"/>
        <v>-560.54</v>
      </c>
      <c r="H56" s="40">
        <f t="shared" si="15"/>
        <v>66.7355053112575</v>
      </c>
      <c r="I56" s="56">
        <f t="shared" si="18"/>
        <v>-5735.4400000000005</v>
      </c>
      <c r="J56" s="56">
        <f t="shared" si="16"/>
        <v>16.393002915451895</v>
      </c>
      <c r="K56" s="56">
        <f>F56-1629.5</f>
        <v>-504.94000000000005</v>
      </c>
      <c r="L56" s="135">
        <f>F56/1629.5</f>
        <v>0.690125805461798</v>
      </c>
      <c r="M56" s="40">
        <f>E56-лютий!E56</f>
        <v>605.3999999999999</v>
      </c>
      <c r="N56" s="40">
        <f>F56-лютий!F56</f>
        <v>57.09999999999991</v>
      </c>
      <c r="O56" s="53">
        <f t="shared" si="3"/>
        <v>-548.3</v>
      </c>
      <c r="P56" s="56">
        <f t="shared" si="17"/>
        <v>9.431780640898566</v>
      </c>
      <c r="Q56" s="56">
        <f>N56-609.7</f>
        <v>-552.6000000000001</v>
      </c>
      <c r="R56" s="135">
        <f>N56/609.7</f>
        <v>0.09365261604067558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F68-0.3</f>
        <v>0.48000000000000004</v>
      </c>
      <c r="L68" s="135"/>
      <c r="M68" s="40">
        <f>E68-лютий!E68</f>
        <v>0</v>
      </c>
      <c r="N68" s="40">
        <f>F68-лютий!F68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2658.35</v>
      </c>
      <c r="G74" s="50">
        <f aca="true" t="shared" si="24" ref="G74:G92">F74-E74</f>
        <v>-173.6500000000001</v>
      </c>
      <c r="H74" s="51">
        <f aca="true" t="shared" si="25" ref="H74:H87">F74/E74*100</f>
        <v>93.86829096045197</v>
      </c>
      <c r="I74" s="36">
        <f aca="true" t="shared" si="26" ref="I74:I92">F74-D74</f>
        <v>-15007.249999999998</v>
      </c>
      <c r="J74" s="36">
        <f aca="true" t="shared" si="27" ref="J74:J92">F74/D74*100</f>
        <v>15.048172719862333</v>
      </c>
      <c r="K74" s="36">
        <f>F74-3848.8</f>
        <v>-1190.4500000000003</v>
      </c>
      <c r="L74" s="136">
        <f>F74/3848.8</f>
        <v>0.6906958012887133</v>
      </c>
      <c r="M74" s="22">
        <f>M77+M86+M88+M89+M94+M95+M96+M97+M99+M87+M103</f>
        <v>965</v>
      </c>
      <c r="N74" s="22">
        <f>N77+N86+N88+N89+N94+N95+N96+N97+N99+N32+N103+N87</f>
        <v>553.8299999999999</v>
      </c>
      <c r="O74" s="55">
        <f aca="true" t="shared" si="28" ref="O74:O92">N74-M74</f>
        <v>-411.1700000000001</v>
      </c>
      <c r="P74" s="36">
        <f>N74/M74*100</f>
        <v>57.39170984455958</v>
      </c>
      <c r="Q74" s="36">
        <f>N74-1138.4</f>
        <v>-584.5700000000002</v>
      </c>
      <c r="R74" s="136">
        <f>N74/1138.4</f>
        <v>0.48649859451862254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170</v>
      </c>
      <c r="C87" s="64">
        <v>21080500</v>
      </c>
      <c r="D87" s="41"/>
      <c r="E87" s="41">
        <v>0</v>
      </c>
      <c r="F87" s="57">
        <v>97.38</v>
      </c>
      <c r="G87" s="49">
        <f t="shared" si="24"/>
        <v>97.38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0</v>
      </c>
      <c r="O87" s="53">
        <f t="shared" si="28"/>
        <v>0</v>
      </c>
      <c r="P87" s="56" t="e">
        <f t="shared" si="29"/>
        <v>#DIV/0!</v>
      </c>
      <c r="Q87" s="56">
        <f>N87-0</f>
        <v>0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19.41</v>
      </c>
      <c r="G89" s="49">
        <f t="shared" si="24"/>
        <v>-19.59</v>
      </c>
      <c r="H89" s="40">
        <f>F89/E89*100</f>
        <v>49.769230769230774</v>
      </c>
      <c r="I89" s="56">
        <f t="shared" si="26"/>
        <v>-155.59</v>
      </c>
      <c r="J89" s="56">
        <f t="shared" si="27"/>
        <v>11.09142857142857</v>
      </c>
      <c r="K89" s="56">
        <f>F89-47.5</f>
        <v>-28.09</v>
      </c>
      <c r="L89" s="135">
        <f>F89/47.5</f>
        <v>0.4086315789473684</v>
      </c>
      <c r="M89" s="40">
        <f>E89-лютий!E89</f>
        <v>15</v>
      </c>
      <c r="N89" s="40">
        <f>F89-лютий!F89</f>
        <v>0</v>
      </c>
      <c r="O89" s="53">
        <f t="shared" si="28"/>
        <v>-15</v>
      </c>
      <c r="P89" s="56">
        <f>N89/M89*100</f>
        <v>0</v>
      </c>
      <c r="Q89" s="56">
        <f>N89-15.9</f>
        <v>-15.9</v>
      </c>
      <c r="R89" s="135">
        <f>N89/15.9</f>
        <v>0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1693.26</v>
      </c>
      <c r="G95" s="49">
        <f t="shared" si="31"/>
        <v>16.75999999999999</v>
      </c>
      <c r="H95" s="40">
        <f>F95/E95*100</f>
        <v>100.99970175961826</v>
      </c>
      <c r="I95" s="56">
        <f t="shared" si="32"/>
        <v>-4606.74</v>
      </c>
      <c r="J95" s="56">
        <f>F95/D95*100</f>
        <v>26.877142857142854</v>
      </c>
      <c r="K95" s="56">
        <f>F95-1478.7</f>
        <v>214.55999999999995</v>
      </c>
      <c r="L95" s="135">
        <f>F95/1478.7</f>
        <v>1.1451004260499087</v>
      </c>
      <c r="M95" s="40">
        <f>E95-лютий!E95</f>
        <v>515</v>
      </c>
      <c r="N95" s="40">
        <f>F95-лютий!F95</f>
        <v>503.3399999999999</v>
      </c>
      <c r="O95" s="53">
        <f t="shared" si="33"/>
        <v>-11.660000000000082</v>
      </c>
      <c r="P95" s="56">
        <f>N95/M95*100</f>
        <v>97.73592233009707</v>
      </c>
      <c r="Q95" s="56">
        <f>N95-653.7</f>
        <v>-150.36000000000013</v>
      </c>
      <c r="R95" s="135">
        <f>N95/653.7</f>
        <v>0.769986232216613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137.57</v>
      </c>
      <c r="G96" s="49">
        <f t="shared" si="31"/>
        <v>-86.93</v>
      </c>
      <c r="H96" s="40">
        <f>F96/E96*100</f>
        <v>61.278396436525604</v>
      </c>
      <c r="I96" s="56">
        <f t="shared" si="32"/>
        <v>-1062.43</v>
      </c>
      <c r="J96" s="56">
        <f>F96/D96*100</f>
        <v>11.464166666666666</v>
      </c>
      <c r="K96" s="56">
        <f>F96-161.5</f>
        <v>-23.930000000000007</v>
      </c>
      <c r="L96" s="135">
        <f>F96/161.5</f>
        <v>0.8518266253869968</v>
      </c>
      <c r="M96" s="40">
        <f>E96-лютий!E96</f>
        <v>80</v>
      </c>
      <c r="N96" s="40">
        <f>F96-лютий!F96</f>
        <v>11.029999999999987</v>
      </c>
      <c r="O96" s="53">
        <f t="shared" si="33"/>
        <v>-68.97000000000001</v>
      </c>
      <c r="P96" s="56">
        <f>N96/M96*100</f>
        <v>13.787499999999984</v>
      </c>
      <c r="Q96" s="56">
        <f>N96-101.5</f>
        <v>-90.47000000000001</v>
      </c>
      <c r="R96" s="135">
        <f>N96/101.5</f>
        <v>0.10866995073891612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683.42</v>
      </c>
      <c r="G99" s="49">
        <f t="shared" si="31"/>
        <v>-93.58000000000004</v>
      </c>
      <c r="H99" s="40">
        <f>F99/E99*100</f>
        <v>87.95624195624195</v>
      </c>
      <c r="I99" s="56">
        <f t="shared" si="32"/>
        <v>-3196.58</v>
      </c>
      <c r="J99" s="56">
        <f>F99/D99*100</f>
        <v>17.613917525773196</v>
      </c>
      <c r="K99" s="56">
        <f>F99-730.6</f>
        <v>-47.180000000000064</v>
      </c>
      <c r="L99" s="135">
        <f>F99/730.6</f>
        <v>0.9354229400492745</v>
      </c>
      <c r="M99" s="40">
        <f>E99-лютий!E99</f>
        <v>250</v>
      </c>
      <c r="N99" s="40">
        <f>F99-лютий!F99</f>
        <v>31.41999999999996</v>
      </c>
      <c r="O99" s="53">
        <f t="shared" si="33"/>
        <v>-218.58000000000004</v>
      </c>
      <c r="P99" s="56">
        <f>N99/M99*100</f>
        <v>12.567999999999985</v>
      </c>
      <c r="Q99" s="56">
        <f>N99-242.1</f>
        <v>-210.68000000000004</v>
      </c>
      <c r="R99" s="135">
        <f>N99/242.1</f>
        <v>0.12978108219743892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134.7</v>
      </c>
      <c r="G102" s="144"/>
      <c r="H102" s="146"/>
      <c r="I102" s="145"/>
      <c r="J102" s="145"/>
      <c r="K102" s="148">
        <f>F102-88.6</f>
        <v>46.099999999999994</v>
      </c>
      <c r="L102" s="149">
        <f>F102/88.6</f>
        <v>1.520316027088036</v>
      </c>
      <c r="M102" s="40">
        <f>E102-лютий!E102</f>
        <v>0</v>
      </c>
      <c r="N102" s="40">
        <f>F102-лютий!F102</f>
        <v>4.599999999999994</v>
      </c>
      <c r="O102" s="53"/>
      <c r="P102" s="60"/>
      <c r="Q102" s="60">
        <f>N102-31.4</f>
        <v>-26.800000000000004</v>
      </c>
      <c r="R102" s="135">
        <f>N102/31.4</f>
        <v>0.14649681528662403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F103-24.2</f>
        <v>-24.2</v>
      </c>
      <c r="L103" s="135">
        <f>F103/24.2</f>
        <v>0</v>
      </c>
      <c r="M103" s="40">
        <f>E103-лютий!E103</f>
        <v>24.5</v>
      </c>
      <c r="N103" s="40">
        <f>F103-лютий!F103</f>
        <v>0</v>
      </c>
      <c r="O103" s="53">
        <f aca="true" t="shared" si="35" ref="O103:O109">N103-M103</f>
        <v>-24.5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2.68</v>
      </c>
      <c r="G104" s="49">
        <f>F104-E104</f>
        <v>-3.52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F104-12.1</f>
        <v>-9.42</v>
      </c>
      <c r="L104" s="135">
        <f>F104/12.1</f>
        <v>0.22148760330578515</v>
      </c>
      <c r="M104" s="40">
        <f>E104-лютий!E104</f>
        <v>2</v>
      </c>
      <c r="N104" s="40">
        <f>F104-лютий!F104</f>
        <v>0</v>
      </c>
      <c r="O104" s="53">
        <f t="shared" si="35"/>
        <v>-2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117795.80000000002</v>
      </c>
      <c r="F106" s="22">
        <f>F8+F74+F104+F105</f>
        <v>75000.95</v>
      </c>
      <c r="G106" s="50">
        <f>F106-E106</f>
        <v>-42794.85000000002</v>
      </c>
      <c r="H106" s="51">
        <f>F106/E106*100</f>
        <v>63.670309128169244</v>
      </c>
      <c r="I106" s="36">
        <f t="shared" si="34"/>
        <v>-462038.95</v>
      </c>
      <c r="J106" s="36">
        <f t="shared" si="36"/>
        <v>13.965619686730909</v>
      </c>
      <c r="K106" s="36">
        <f>F106-114781.4</f>
        <v>-39780.45</v>
      </c>
      <c r="L106" s="136">
        <f>F106/114781.4</f>
        <v>0.6534242481795831</v>
      </c>
      <c r="M106" s="22">
        <f>M8+M74+M104+M105</f>
        <v>41859.80000000001</v>
      </c>
      <c r="N106" s="22">
        <f>N8+N74+N104+N105</f>
        <v>3580.4900000000007</v>
      </c>
      <c r="O106" s="55">
        <f t="shared" si="35"/>
        <v>-38279.31000000001</v>
      </c>
      <c r="P106" s="36">
        <f>N106/M106*100</f>
        <v>8.553528683844643</v>
      </c>
      <c r="Q106" s="36">
        <f>N106-39480.5</f>
        <v>-35900.01</v>
      </c>
      <c r="R106" s="136">
        <f>N106/39480.5</f>
        <v>0.09069008751155636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57569.96</v>
      </c>
      <c r="G107" s="71">
        <f>G10-G18+G96</f>
        <v>-36111.14000000001</v>
      </c>
      <c r="H107" s="72">
        <f>F107/E107*100</f>
        <v>61.453121280599824</v>
      </c>
      <c r="I107" s="52">
        <f t="shared" si="34"/>
        <v>-361996.24</v>
      </c>
      <c r="J107" s="52">
        <f t="shared" si="36"/>
        <v>13.721305481709441</v>
      </c>
      <c r="K107" s="52">
        <f>F107-85425.6</f>
        <v>-27855.640000000007</v>
      </c>
      <c r="L107" s="137">
        <f>F107/85425.6</f>
        <v>0.673919293513888</v>
      </c>
      <c r="M107" s="71">
        <f>M10-M18+M96</f>
        <v>33666.40000000001</v>
      </c>
      <c r="N107" s="71">
        <f>N10-N18+N96</f>
        <v>2697.4300000000017</v>
      </c>
      <c r="O107" s="53">
        <f t="shared" si="35"/>
        <v>-30968.97000000001</v>
      </c>
      <c r="P107" s="52">
        <f>N107/M107*100</f>
        <v>8.012231780053707</v>
      </c>
      <c r="Q107" s="52">
        <f>N107-30211.8</f>
        <v>-27514.37</v>
      </c>
      <c r="R107" s="137">
        <f>N107/30211.8</f>
        <v>0.08928398837540305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24114.70000000001</v>
      </c>
      <c r="F108" s="71">
        <f>F106-F107</f>
        <v>17430.989999999998</v>
      </c>
      <c r="G108" s="62">
        <f>F108-E108</f>
        <v>-6683.710000000014</v>
      </c>
      <c r="H108" s="72">
        <f>F108/E108*100</f>
        <v>72.28366929715065</v>
      </c>
      <c r="I108" s="52">
        <f t="shared" si="34"/>
        <v>-100042.71000000002</v>
      </c>
      <c r="J108" s="52">
        <f t="shared" si="36"/>
        <v>14.838206338950757</v>
      </c>
      <c r="K108" s="52">
        <f>F108-29355.8</f>
        <v>-11924.810000000001</v>
      </c>
      <c r="L108" s="137">
        <f>F108/29355.8</f>
        <v>0.5937835112652354</v>
      </c>
      <c r="M108" s="71">
        <f>M106-M107</f>
        <v>8193.400000000001</v>
      </c>
      <c r="N108" s="71">
        <f>N106-N107</f>
        <v>883.059999999999</v>
      </c>
      <c r="O108" s="53">
        <f t="shared" si="35"/>
        <v>-7310.340000000002</v>
      </c>
      <c r="P108" s="52">
        <f>N108/M108*100</f>
        <v>10.777699123684902</v>
      </c>
      <c r="Q108" s="52">
        <f>N108-9268.6</f>
        <v>-8385.54</v>
      </c>
      <c r="R108" s="137">
        <f>N108/9268.6</f>
        <v>0.09527436721835002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57569.96</v>
      </c>
      <c r="G109" s="111">
        <f>F109-E109</f>
        <v>-36111.14000000001</v>
      </c>
      <c r="H109" s="72">
        <f>F109/E109*100</f>
        <v>61.453121280599824</v>
      </c>
      <c r="I109" s="81">
        <f t="shared" si="34"/>
        <v>-361996.24</v>
      </c>
      <c r="J109" s="52">
        <f t="shared" si="36"/>
        <v>13.721305481709441</v>
      </c>
      <c r="K109" s="52"/>
      <c r="L109" s="137"/>
      <c r="M109" s="122">
        <f>E109-лютий!E109</f>
        <v>33666.40000000001</v>
      </c>
      <c r="N109" s="71">
        <f>N107</f>
        <v>2697.4300000000017</v>
      </c>
      <c r="O109" s="118">
        <f t="shared" si="35"/>
        <v>-30968.97000000001</v>
      </c>
      <c r="P109" s="52">
        <f>N109/M109*100</f>
        <v>8.012231780053707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4870.4</v>
      </c>
      <c r="F110" s="87">
        <f>'[1]березень'!$C$28/1000</f>
        <v>3467.058</v>
      </c>
      <c r="G110" s="62">
        <f>F110-E110</f>
        <v>-1403.3419999999996</v>
      </c>
      <c r="H110" s="72"/>
      <c r="I110" s="85">
        <f t="shared" si="34"/>
        <v>-1403.3220000000001</v>
      </c>
      <c r="J110" s="52"/>
      <c r="K110" s="52"/>
      <c r="L110" s="137"/>
      <c r="M110" s="40">
        <f>E110-лютий!E110</f>
        <v>1650.9889999999996</v>
      </c>
      <c r="N110" s="71">
        <f>F110-лютий!F110</f>
        <v>247.64699999999993</v>
      </c>
      <c r="O110" s="86"/>
      <c r="P110" s="52">
        <f>N110/M110*100</f>
        <v>14.999918230830126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-2.97</v>
      </c>
      <c r="G113" s="49">
        <f aca="true" t="shared" si="37" ref="G113:G125">F113-E113</f>
        <v>-2.97</v>
      </c>
      <c r="H113" s="40"/>
      <c r="I113" s="60">
        <f aca="true" t="shared" si="38" ref="I113:I124">F113-D113</f>
        <v>-2.97</v>
      </c>
      <c r="J113" s="60"/>
      <c r="K113" s="60">
        <f>F113-4.6</f>
        <v>-7.57</v>
      </c>
      <c r="L113" s="138">
        <f>F113/4.6</f>
        <v>-0.6456521739130435</v>
      </c>
      <c r="M113" s="40">
        <f>E113-лютий!E113</f>
        <v>0</v>
      </c>
      <c r="N113" s="40">
        <f>F113-лютий!F113</f>
        <v>-0.3600000000000003</v>
      </c>
      <c r="O113" s="53"/>
      <c r="P113" s="60"/>
      <c r="Q113" s="60">
        <f>N113-0.5</f>
        <v>-0.8600000000000003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193.04</v>
      </c>
      <c r="G114" s="49">
        <f t="shared" si="37"/>
        <v>-521.5600000000001</v>
      </c>
      <c r="H114" s="40">
        <f aca="true" t="shared" si="39" ref="H114:H125">F114/E114*100</f>
        <v>27.013713965855025</v>
      </c>
      <c r="I114" s="60">
        <f t="shared" si="38"/>
        <v>-3478.46</v>
      </c>
      <c r="J114" s="60">
        <f aca="true" t="shared" si="40" ref="J114:J120">F114/D114*100</f>
        <v>5.257796540923328</v>
      </c>
      <c r="K114" s="60">
        <f>F114-834.4</f>
        <v>-641.36</v>
      </c>
      <c r="L114" s="138">
        <f>F114/834.4</f>
        <v>0.23135186960690315</v>
      </c>
      <c r="M114" s="40">
        <f>E114-лютий!E114</f>
        <v>327.5</v>
      </c>
      <c r="N114" s="40">
        <f>F114-лютий!F114</f>
        <v>13.799999999999983</v>
      </c>
      <c r="O114" s="53">
        <f aca="true" t="shared" si="41" ref="O114:O125">N114-M114</f>
        <v>-313.70000000000005</v>
      </c>
      <c r="P114" s="60">
        <f>N114/M114*100</f>
        <v>4.213740458015262</v>
      </c>
      <c r="Q114" s="60">
        <f>N114-228.9</f>
        <v>-215.10000000000002</v>
      </c>
      <c r="R114" s="138">
        <f>N114/228.9</f>
        <v>0.06028833551769324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68.5</v>
      </c>
      <c r="F115" s="32">
        <v>46.69</v>
      </c>
      <c r="G115" s="49">
        <f t="shared" si="37"/>
        <v>-21.810000000000002</v>
      </c>
      <c r="H115" s="40">
        <f t="shared" si="39"/>
        <v>68.16058394160584</v>
      </c>
      <c r="I115" s="60">
        <f t="shared" si="38"/>
        <v>-221.41000000000003</v>
      </c>
      <c r="J115" s="60">
        <f t="shared" si="40"/>
        <v>17.415143603133156</v>
      </c>
      <c r="K115" s="60">
        <f>F115-63.4</f>
        <v>-16.71</v>
      </c>
      <c r="L115" s="138">
        <f>F115/63.4</f>
        <v>0.7364353312302839</v>
      </c>
      <c r="M115" s="40">
        <f>E115-лютий!E115</f>
        <v>22</v>
      </c>
      <c r="N115" s="40">
        <f>F115-лютий!F115</f>
        <v>0</v>
      </c>
      <c r="O115" s="53">
        <f t="shared" si="41"/>
        <v>-22</v>
      </c>
      <c r="P115" s="60">
        <f>N115/M115*100</f>
        <v>0</v>
      </c>
      <c r="Q115" s="60">
        <f>N115-24.1</f>
        <v>-24.1</v>
      </c>
      <c r="R115" s="138">
        <f>N115/24.1</f>
        <v>0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236.76</v>
      </c>
      <c r="G116" s="62">
        <f t="shared" si="37"/>
        <v>-546.34</v>
      </c>
      <c r="H116" s="72">
        <f t="shared" si="39"/>
        <v>30.233686630060014</v>
      </c>
      <c r="I116" s="61">
        <f t="shared" si="38"/>
        <v>-3702.84</v>
      </c>
      <c r="J116" s="61">
        <f t="shared" si="40"/>
        <v>6.0097471824550714</v>
      </c>
      <c r="K116" s="61">
        <f>F116-902.4</f>
        <v>-665.64</v>
      </c>
      <c r="L116" s="139">
        <f>F116/902.4</f>
        <v>0.2623670212765957</v>
      </c>
      <c r="M116" s="62">
        <f>M114+M115+M113</f>
        <v>349.5</v>
      </c>
      <c r="N116" s="38">
        <f>SUM(N113:N115)</f>
        <v>13.439999999999984</v>
      </c>
      <c r="O116" s="61">
        <f t="shared" si="41"/>
        <v>-336.06</v>
      </c>
      <c r="P116" s="61">
        <f>N116/M116*100</f>
        <v>3.8454935622317548</v>
      </c>
      <c r="Q116" s="61">
        <f>N116-253.5</f>
        <v>-240.06</v>
      </c>
      <c r="R116" s="139">
        <f>N116/253.5</f>
        <v>0.053017751479289874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58.68</v>
      </c>
      <c r="G118" s="49">
        <f t="shared" si="37"/>
        <v>58.68</v>
      </c>
      <c r="H118" s="40" t="e">
        <f t="shared" si="39"/>
        <v>#DIV/0!</v>
      </c>
      <c r="I118" s="60">
        <f t="shared" si="38"/>
        <v>58.68</v>
      </c>
      <c r="J118" s="60" t="e">
        <f t="shared" si="40"/>
        <v>#DIV/0!</v>
      </c>
      <c r="K118" s="60">
        <f>F118-7.7</f>
        <v>50.98</v>
      </c>
      <c r="L118" s="138">
        <f>F118/7.7</f>
        <v>7.62077922077922</v>
      </c>
      <c r="M118" s="40">
        <f>E118-лютий!E118</f>
        <v>0</v>
      </c>
      <c r="N118" s="40">
        <f>F118-лютий!F118</f>
        <v>1.2899999999999991</v>
      </c>
      <c r="O118" s="53" t="s">
        <v>166</v>
      </c>
      <c r="P118" s="60"/>
      <c r="Q118" s="60">
        <f>N118-2.5</f>
        <v>-1.2100000000000009</v>
      </c>
      <c r="R118" s="138">
        <f>N118/2.5</f>
        <v>0.5159999999999997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17189.24</v>
      </c>
      <c r="G119" s="49">
        <f t="shared" si="37"/>
        <v>-1423.359999999997</v>
      </c>
      <c r="H119" s="40">
        <f t="shared" si="39"/>
        <v>92.35270730580362</v>
      </c>
      <c r="I119" s="53">
        <f t="shared" si="38"/>
        <v>-8798.144999999997</v>
      </c>
      <c r="J119" s="60">
        <f t="shared" si="40"/>
        <v>66.14455436743636</v>
      </c>
      <c r="K119" s="60">
        <f>F119-17244.2</f>
        <v>-54.95999999999913</v>
      </c>
      <c r="L119" s="138">
        <f>F119/17244.2</f>
        <v>0.9968128414191438</v>
      </c>
      <c r="M119" s="40">
        <f>E119-лютий!E119</f>
        <v>3092.999999999998</v>
      </c>
      <c r="N119" s="40">
        <f>F119-лютий!F119</f>
        <v>307.90000000000146</v>
      </c>
      <c r="O119" s="53">
        <f t="shared" si="41"/>
        <v>-2785.0999999999967</v>
      </c>
      <c r="P119" s="60">
        <f aca="true" t="shared" si="42" ref="P119:P124">N119/M119*100</f>
        <v>9.954736501778262</v>
      </c>
      <c r="Q119" s="60">
        <f>N119-2792.9</f>
        <v>-2484.9999999999986</v>
      </c>
      <c r="R119" s="138">
        <f>N119/2792.9</f>
        <v>0.11024383257545972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475.93</v>
      </c>
      <c r="G120" s="49">
        <f t="shared" si="37"/>
        <v>475.93</v>
      </c>
      <c r="H120" s="40" t="e">
        <f t="shared" si="39"/>
        <v>#DIV/0!</v>
      </c>
      <c r="I120" s="60">
        <f t="shared" si="38"/>
        <v>475.93</v>
      </c>
      <c r="J120" s="60" t="e">
        <f t="shared" si="40"/>
        <v>#DIV/0!</v>
      </c>
      <c r="K120" s="60">
        <f>F120-280.5</f>
        <v>195.43</v>
      </c>
      <c r="L120" s="138">
        <f>F120/230.5</f>
        <v>2.064772234273319</v>
      </c>
      <c r="M120" s="40">
        <f>E120-лютий!E120</f>
        <v>0</v>
      </c>
      <c r="N120" s="40">
        <f>F120-лютий!F120</f>
        <v>0.03000000000002956</v>
      </c>
      <c r="O120" s="53">
        <f t="shared" si="41"/>
        <v>0.03000000000002956</v>
      </c>
      <c r="P120" s="60" t="e">
        <f t="shared" si="42"/>
        <v>#DIV/0!</v>
      </c>
      <c r="Q120" s="60">
        <f>N120-0</f>
        <v>0.03000000000002956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1105.79</v>
      </c>
      <c r="G121" s="49">
        <f t="shared" si="37"/>
        <v>1105.79</v>
      </c>
      <c r="H121" s="40" t="e">
        <f t="shared" si="39"/>
        <v>#DIV/0!</v>
      </c>
      <c r="I121" s="60">
        <f t="shared" si="38"/>
        <v>1105.79</v>
      </c>
      <c r="J121" s="60" t="e">
        <f>F121/D121*100</f>
        <v>#DIV/0!</v>
      </c>
      <c r="K121" s="60">
        <f>F121-6993.4</f>
        <v>-5887.61</v>
      </c>
      <c r="L121" s="138">
        <f>F121/6993.4</f>
        <v>0.15811908370749564</v>
      </c>
      <c r="M121" s="40">
        <f>E121-лютий!E121</f>
        <v>0</v>
      </c>
      <c r="N121" s="40">
        <f>F121-лютий!F121</f>
        <v>62.61999999999989</v>
      </c>
      <c r="O121" s="53">
        <f t="shared" si="41"/>
        <v>62.61999999999989</v>
      </c>
      <c r="P121" s="60" t="e">
        <f t="shared" si="42"/>
        <v>#DIV/0!</v>
      </c>
      <c r="Q121" s="60">
        <f>N121-6463.4</f>
        <v>-6400.78</v>
      </c>
      <c r="R121" s="138">
        <f>N121/6463.4</f>
        <v>0.009688399294488953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136.4</v>
      </c>
      <c r="G122" s="49">
        <f t="shared" si="37"/>
        <v>136.4</v>
      </c>
      <c r="H122" s="40" t="e">
        <f t="shared" si="39"/>
        <v>#DIV/0!</v>
      </c>
      <c r="I122" s="60">
        <f t="shared" si="38"/>
        <v>136.4</v>
      </c>
      <c r="J122" s="60" t="e">
        <f>F122/D122*100</f>
        <v>#DIV/0!</v>
      </c>
      <c r="K122" s="60">
        <f>F122-314.5</f>
        <v>-178.1</v>
      </c>
      <c r="L122" s="138">
        <f>F122/314.5</f>
        <v>0.43370429252782194</v>
      </c>
      <c r="M122" s="40">
        <f>E122-лютий!E122</f>
        <v>0</v>
      </c>
      <c r="N122" s="40">
        <f>F122-лютий!F122</f>
        <v>49</v>
      </c>
      <c r="O122" s="53">
        <f t="shared" si="41"/>
        <v>49</v>
      </c>
      <c r="P122" s="60" t="e">
        <f t="shared" si="42"/>
        <v>#DIV/0!</v>
      </c>
      <c r="Q122" s="60">
        <f>N122-7.7</f>
        <v>41.3</v>
      </c>
      <c r="R122" s="138">
        <f>N122/7.7</f>
        <v>6.363636363636363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18966.040000000005</v>
      </c>
      <c r="G123" s="62">
        <f t="shared" si="37"/>
        <v>353.44000000000597</v>
      </c>
      <c r="H123" s="72">
        <f t="shared" si="39"/>
        <v>101.89892868272035</v>
      </c>
      <c r="I123" s="61">
        <f t="shared" si="38"/>
        <v>-7021.344999999994</v>
      </c>
      <c r="J123" s="61">
        <f>F123/D123*100</f>
        <v>72.98171786041576</v>
      </c>
      <c r="K123" s="61">
        <f>F123-24840.3</f>
        <v>-5874.259999999995</v>
      </c>
      <c r="L123" s="139">
        <f>F123/24840.3</f>
        <v>0.7635189591108</v>
      </c>
      <c r="M123" s="62">
        <f>M119+M120+M121+M122+M118</f>
        <v>3092.999999999998</v>
      </c>
      <c r="N123" s="62">
        <f>N119+N120+N121+N122+N118</f>
        <v>420.8400000000014</v>
      </c>
      <c r="O123" s="61">
        <f t="shared" si="41"/>
        <v>-2672.1599999999967</v>
      </c>
      <c r="P123" s="61">
        <f t="shared" si="42"/>
        <v>13.606207565470472</v>
      </c>
      <c r="Q123" s="61">
        <f>N123-9266.6</f>
        <v>-8845.759999999998</v>
      </c>
      <c r="R123" s="139">
        <f>N123/9266.6</f>
        <v>0.04541471521377866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0.16</v>
      </c>
      <c r="G124" s="49">
        <f t="shared" si="37"/>
        <v>-8</v>
      </c>
      <c r="H124" s="40">
        <f t="shared" si="39"/>
        <v>1.9607843137254901</v>
      </c>
      <c r="I124" s="60">
        <f t="shared" si="38"/>
        <v>-43.34</v>
      </c>
      <c r="J124" s="60">
        <f>F124/D124*100</f>
        <v>0.367816091954023</v>
      </c>
      <c r="K124" s="60">
        <f>F124-97</f>
        <v>-96.84</v>
      </c>
      <c r="L124" s="138">
        <f>F124/97</f>
        <v>0.0016494845360824743</v>
      </c>
      <c r="M124" s="40">
        <f>E124-лютий!E124</f>
        <v>3</v>
      </c>
      <c r="N124" s="40">
        <f>F124-лютий!F124</f>
        <v>0</v>
      </c>
      <c r="O124" s="53">
        <f t="shared" si="41"/>
        <v>-3</v>
      </c>
      <c r="P124" s="60">
        <f>N124/M124*100</f>
        <v>0</v>
      </c>
      <c r="Q124" s="60">
        <f>N124-70.5</f>
        <v>-70.5</v>
      </c>
      <c r="R124" s="138">
        <f>N124/70.5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2600.49</v>
      </c>
      <c r="G127" s="49">
        <f aca="true" t="shared" si="43" ref="G127:G134">F127-E127</f>
        <v>92.98999999999978</v>
      </c>
      <c r="H127" s="40">
        <f>F127/E127*100</f>
        <v>103.70847457627117</v>
      </c>
      <c r="I127" s="60">
        <f aca="true" t="shared" si="44" ref="I127:I134">F127-D127</f>
        <v>-6099.51</v>
      </c>
      <c r="J127" s="60">
        <f>F127/D127*100</f>
        <v>29.89068965517241</v>
      </c>
      <c r="K127" s="60">
        <f>F127-2439.6</f>
        <v>160.88999999999987</v>
      </c>
      <c r="L127" s="138">
        <f>F127/2439.6</f>
        <v>1.0659493359567143</v>
      </c>
      <c r="M127" s="40">
        <f>E127-лютий!E127</f>
        <v>0</v>
      </c>
      <c r="N127" s="40">
        <f>F127-лютий!F127</f>
        <v>-884.1500000000001</v>
      </c>
      <c r="O127" s="53">
        <f aca="true" t="shared" si="45" ref="O127:O134">N127-M127</f>
        <v>-884.1500000000001</v>
      </c>
      <c r="P127" s="60" t="e">
        <f>N127/M127*100</f>
        <v>#DIV/0!</v>
      </c>
      <c r="Q127" s="60">
        <f>N127-0.4</f>
        <v>-884.5500000000001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-0.25</v>
      </c>
      <c r="G128" s="49">
        <f t="shared" si="43"/>
        <v>-0.25</v>
      </c>
      <c r="H128" s="40"/>
      <c r="I128" s="60">
        <f t="shared" si="44"/>
        <v>-0.25</v>
      </c>
      <c r="J128" s="60"/>
      <c r="K128" s="60">
        <f>F128-(-0.8)</f>
        <v>0.55</v>
      </c>
      <c r="L128" s="138">
        <f>F128/(-0.8)</f>
        <v>0.3125</v>
      </c>
      <c r="M128" s="40">
        <f>E128-лютий!E128</f>
        <v>0</v>
      </c>
      <c r="N128" s="40">
        <f>F128-лютий!F128</f>
        <v>-0.01999999999999999</v>
      </c>
      <c r="O128" s="53">
        <f t="shared" si="45"/>
        <v>-0.01999999999999999</v>
      </c>
      <c r="P128" s="60"/>
      <c r="Q128" s="60">
        <f>N128-(-0.1)</f>
        <v>0.08000000000000002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2609.16</v>
      </c>
      <c r="G129" s="62">
        <f t="shared" si="43"/>
        <v>86.30000000000018</v>
      </c>
      <c r="H129" s="72">
        <f>F129/E129*100</f>
        <v>103.42072092783587</v>
      </c>
      <c r="I129" s="61">
        <f t="shared" si="44"/>
        <v>-6141.540000000001</v>
      </c>
      <c r="J129" s="61">
        <f>F129/D129*100</f>
        <v>29.81658610168329</v>
      </c>
      <c r="K129" s="61">
        <f>F129-2544.3</f>
        <v>64.85999999999967</v>
      </c>
      <c r="L129" s="139">
        <f>G129/2544.3</f>
        <v>0.03391895609794449</v>
      </c>
      <c r="M129" s="62">
        <f>M124+M127+M128+M126</f>
        <v>3</v>
      </c>
      <c r="N129" s="62">
        <f>N124+N127+N128+N126</f>
        <v>-884.1700000000001</v>
      </c>
      <c r="O129" s="61">
        <f t="shared" si="45"/>
        <v>-887.1700000000001</v>
      </c>
      <c r="P129" s="61">
        <f>N129/M129*100</f>
        <v>-29472.333333333336</v>
      </c>
      <c r="Q129" s="61">
        <f>N129-69.8</f>
        <v>-953.97</v>
      </c>
      <c r="R129" s="137">
        <f>N129/69.8</f>
        <v>-12.667191977077366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1.98</v>
      </c>
      <c r="G130" s="49">
        <f>F130-E130</f>
        <v>-5.869999999999999</v>
      </c>
      <c r="H130" s="40">
        <f>F130/E130*100</f>
        <v>25.222929936305732</v>
      </c>
      <c r="I130" s="60">
        <f>F130-D130</f>
        <v>-28.02</v>
      </c>
      <c r="J130" s="60">
        <f>F130/D130*100</f>
        <v>6.6000000000000005</v>
      </c>
      <c r="K130" s="60">
        <f>F130-8.4</f>
        <v>-6.42</v>
      </c>
      <c r="L130" s="138">
        <f>F130/8.4</f>
        <v>0.2357142857142857</v>
      </c>
      <c r="M130" s="40">
        <f>E130-лютий!E130</f>
        <v>7</v>
      </c>
      <c r="N130" s="40">
        <f>F130-лютий!F130</f>
        <v>0</v>
      </c>
      <c r="O130" s="53">
        <f>N130-M130</f>
        <v>-7</v>
      </c>
      <c r="P130" s="60">
        <f>N130/M130*100</f>
        <v>0</v>
      </c>
      <c r="Q130" s="60">
        <f>N130-7.3</f>
        <v>-7.3</v>
      </c>
      <c r="R130" s="138">
        <f>N130/7.3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21813.940000000006</v>
      </c>
      <c r="G133" s="50">
        <f t="shared" si="43"/>
        <v>-112.46999999999389</v>
      </c>
      <c r="H133" s="51">
        <f>F133/E133*100</f>
        <v>99.48705693271268</v>
      </c>
      <c r="I133" s="36">
        <f t="shared" si="44"/>
        <v>-16893.74499999999</v>
      </c>
      <c r="J133" s="36">
        <f>F133/D133*100</f>
        <v>56.35557900194756</v>
      </c>
      <c r="K133" s="36">
        <f>F133-28295.3</f>
        <v>-6481.359999999993</v>
      </c>
      <c r="L133" s="136">
        <f>F133/28295.3</f>
        <v>0.7709386364519905</v>
      </c>
      <c r="M133" s="31">
        <f>M116+M130+M123+M129+M132+M131</f>
        <v>3452.499999999998</v>
      </c>
      <c r="N133" s="31">
        <f>N116+N130+N123+N129+N132+N131</f>
        <v>-449.8899999999987</v>
      </c>
      <c r="O133" s="36">
        <f t="shared" si="45"/>
        <v>-3902.3899999999967</v>
      </c>
      <c r="P133" s="36">
        <f>N133/M133*100</f>
        <v>-13.030847212165067</v>
      </c>
      <c r="Q133" s="36">
        <f>N133-9597.2</f>
        <v>-10047.09</v>
      </c>
      <c r="R133" s="136">
        <f>N133/9597.2</f>
        <v>-0.046877214187471206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139722.21000000002</v>
      </c>
      <c r="F134" s="31">
        <f>F106+F133</f>
        <v>96814.89</v>
      </c>
      <c r="G134" s="50">
        <f t="shared" si="43"/>
        <v>-42907.32000000002</v>
      </c>
      <c r="H134" s="51">
        <f>F134/E134*100</f>
        <v>69.2909810115371</v>
      </c>
      <c r="I134" s="36">
        <f t="shared" si="44"/>
        <v>-478932.69499999995</v>
      </c>
      <c r="J134" s="36">
        <f>F134/D134*100</f>
        <v>16.815509525758586</v>
      </c>
      <c r="K134" s="36">
        <f>F134-143076.7</f>
        <v>-46261.81000000001</v>
      </c>
      <c r="L134" s="136">
        <f>F134/143076.7</f>
        <v>0.6766642646915955</v>
      </c>
      <c r="M134" s="22">
        <f>M106+M133</f>
        <v>45312.30000000001</v>
      </c>
      <c r="N134" s="22">
        <f>N106+N133</f>
        <v>3130.600000000002</v>
      </c>
      <c r="O134" s="36">
        <f t="shared" si="45"/>
        <v>-42181.70000000001</v>
      </c>
      <c r="P134" s="36">
        <f>N134/M134*100</f>
        <v>6.908940839463019</v>
      </c>
      <c r="Q134" s="36">
        <f>N134-49077.7</f>
        <v>-45947.09999999999</v>
      </c>
      <c r="R134" s="136">
        <f>N134/49077.7</f>
        <v>0.0637886453521661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17</v>
      </c>
      <c r="D136" s="4" t="s">
        <v>118</v>
      </c>
    </row>
    <row r="137" spans="2:17" ht="31.5">
      <c r="B137" s="78" t="s">
        <v>154</v>
      </c>
      <c r="C137" s="39">
        <f>IF(O106&lt;0,ABS(O106/C136),0)</f>
        <v>2251.7241176470598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41703</v>
      </c>
      <c r="D138" s="39">
        <v>1983.4</v>
      </c>
      <c r="N138" s="152"/>
      <c r="O138" s="152"/>
    </row>
    <row r="139" spans="3:15" ht="15.75">
      <c r="C139" s="120">
        <v>41702</v>
      </c>
      <c r="D139" s="39">
        <v>920.3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41701</v>
      </c>
      <c r="D140" s="39">
        <v>676.9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122391.37273999999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108566.15078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Q56" sqref="Q5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186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189</v>
      </c>
      <c r="N3" s="172" t="s">
        <v>184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193</v>
      </c>
      <c r="F4" s="173" t="s">
        <v>116</v>
      </c>
      <c r="G4" s="175" t="s">
        <v>194</v>
      </c>
      <c r="H4" s="177" t="s">
        <v>167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89"/>
      <c r="N4" s="168" t="s">
        <v>192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183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181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65.39999999999999</v>
      </c>
      <c r="O102" s="53"/>
      <c r="P102" s="60"/>
      <c r="Q102" s="60">
        <f>N102-26.6</f>
        <v>38.79999999999999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f>1568.431+1650.98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-1650.969</v>
      </c>
      <c r="J110" s="52"/>
      <c r="K110" s="52"/>
      <c r="L110" s="137"/>
      <c r="M110" s="40">
        <f>E110-'січень '!E110</f>
        <v>1650.981</v>
      </c>
      <c r="N110" s="71">
        <f>F110-'січень '!F110</f>
        <v>1650.98</v>
      </c>
      <c r="O110" s="86"/>
      <c r="P110" s="52">
        <f>N110/M110*100</f>
        <v>99.99993942995104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137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190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177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174</v>
      </c>
      <c r="H4" s="177" t="s">
        <v>175</v>
      </c>
      <c r="I4" s="170" t="s">
        <v>187</v>
      </c>
      <c r="J4" s="166" t="s">
        <v>188</v>
      </c>
      <c r="K4" s="125" t="s">
        <v>173</v>
      </c>
      <c r="L4" s="130" t="s">
        <v>172</v>
      </c>
      <c r="M4" s="198"/>
      <c r="N4" s="168" t="s">
        <v>185</v>
      </c>
      <c r="O4" s="170" t="s">
        <v>136</v>
      </c>
      <c r="P4" s="172" t="s">
        <v>135</v>
      </c>
      <c r="Q4" s="131" t="s">
        <v>173</v>
      </c>
      <c r="R4" s="132" t="s">
        <v>172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176</v>
      </c>
      <c r="L5" s="164"/>
      <c r="M5" s="199"/>
      <c r="N5" s="169"/>
      <c r="O5" s="171"/>
      <c r="P5" s="172"/>
      <c r="Q5" s="153" t="s">
        <v>178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169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180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181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170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64.7</v>
      </c>
      <c r="G102" s="144"/>
      <c r="H102" s="146"/>
      <c r="I102" s="145"/>
      <c r="J102" s="145"/>
      <c r="K102" s="145">
        <f>F102-30.6</f>
        <v>34.1</v>
      </c>
      <c r="L102" s="148">
        <f>F102/30.6*100</f>
        <v>211.43790849673204</v>
      </c>
      <c r="M102" s="40">
        <f t="shared" si="39"/>
        <v>0</v>
      </c>
      <c r="N102" s="40">
        <f t="shared" si="40"/>
        <v>64.7</v>
      </c>
      <c r="O102" s="53"/>
      <c r="P102" s="56"/>
      <c r="Q102" s="56">
        <f>N102-30.6</f>
        <v>34.1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4870.38</v>
      </c>
      <c r="E110" s="71">
        <v>1568.43</v>
      </c>
      <c r="F110" s="87">
        <f>'[1]січень'!$C$29/1000</f>
        <v>1568.431</v>
      </c>
      <c r="G110" s="62">
        <f>F110-E110</f>
        <v>0.0009999999999763531</v>
      </c>
      <c r="H110" s="72"/>
      <c r="I110" s="85">
        <f t="shared" si="44"/>
        <v>-3301.949</v>
      </c>
      <c r="J110" s="52"/>
      <c r="K110" s="52"/>
      <c r="L110" s="52"/>
      <c r="M110" s="40"/>
      <c r="N110" s="71"/>
      <c r="O110" s="86"/>
      <c r="P110" s="52" t="e">
        <f>N110/M110*100</f>
        <v>#DIV/0!</v>
      </c>
      <c r="Q110" s="52"/>
      <c r="R110" s="137"/>
    </row>
    <row r="111" spans="1:18" s="73" customFormat="1" ht="37.5" hidden="1">
      <c r="A111" s="69"/>
      <c r="B111" s="83" t="s">
        <v>179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171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168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2014-03-06T10:15:15Z</cp:lastPrinted>
  <dcterms:created xsi:type="dcterms:W3CDTF">2003-07-28T11:27:56Z</dcterms:created>
  <dcterms:modified xsi:type="dcterms:W3CDTF">2014-03-06T10:19:40Z</dcterms:modified>
  <cp:category/>
  <cp:version/>
  <cp:contentType/>
  <cp:contentStatus/>
</cp:coreProperties>
</file>